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5824" windowHeight="14016"/>
  </bookViews>
  <sheets>
    <sheet name="List1" sheetId="1" r:id="rId1"/>
    <sheet name="List2" sheetId="2" state="hidden" r:id="rId2"/>
    <sheet name="List3" sheetId="3" state="hidden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3" l="1"/>
  <c r="B4" i="3"/>
  <c r="B5" i="3" s="1"/>
  <c r="B6" i="3" s="1"/>
  <c r="B7" i="3" s="1"/>
  <c r="B8" i="3" s="1"/>
  <c r="B9" i="3" s="1"/>
  <c r="B10" i="3" s="1"/>
  <c r="B11" i="3" s="1"/>
  <c r="B12" i="3" s="1"/>
  <c r="B13" i="3" s="1"/>
  <c r="B14" i="3" s="1"/>
  <c r="B25" i="1"/>
  <c r="I19" i="1" l="1"/>
  <c r="D8" i="2"/>
  <c r="D7" i="2"/>
  <c r="G27" i="1"/>
  <c r="G29" i="1" s="1"/>
  <c r="G30" i="1" s="1"/>
  <c r="D4" i="3" s="1"/>
  <c r="D5" i="3" s="1"/>
  <c r="D6" i="3" s="1"/>
  <c r="D7" i="3" s="1"/>
  <c r="D8" i="3" s="1"/>
  <c r="D9" i="3" s="1"/>
  <c r="D10" i="3" s="1"/>
  <c r="D11" i="3" s="1"/>
  <c r="D12" i="3" s="1"/>
  <c r="D13" i="3" s="1"/>
  <c r="D14" i="3" s="1"/>
  <c r="D6" i="2"/>
  <c r="D5" i="2"/>
  <c r="D4" i="2"/>
  <c r="G12" i="2"/>
  <c r="G23" i="1" l="1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G22" i="1"/>
  <c r="B24" i="1"/>
  <c r="G14" i="2" l="1"/>
  <c r="G25" i="1" s="1"/>
  <c r="G24" i="1" l="1"/>
  <c r="H24" i="1"/>
</calcChain>
</file>

<file path=xl/comments1.xml><?xml version="1.0" encoding="utf-8"?>
<comments xmlns="http://schemas.openxmlformats.org/spreadsheetml/2006/main">
  <authors>
    <author>Petr Muchna</author>
  </authors>
  <commentList>
    <comment ref="G15" authorId="0">
      <text>
        <r>
          <rPr>
            <b/>
            <sz val="9"/>
            <color indexed="10"/>
            <rFont val="Tahoma"/>
            <family val="2"/>
            <charset val="238"/>
          </rPr>
          <t xml:space="preserve">
POZOR!
Použijte cenu za respirátor, který se svými ochrannými vlastnostmi blíží ochraně Tiki maskou!
Tzn. kvalitní respirátor s minimální ochrannou třídou FFP3. (Běžná cena takových respirátorů je cca 150-300 Kč/ks)</t>
        </r>
      </text>
    </comment>
  </commentList>
</comments>
</file>

<file path=xl/sharedStrings.xml><?xml version="1.0" encoding="utf-8"?>
<sst xmlns="http://schemas.openxmlformats.org/spreadsheetml/2006/main" count="61" uniqueCount="43">
  <si>
    <t>Návratnost investice do Tiki masky</t>
  </si>
  <si>
    <t>Vyplňte zelená pole</t>
  </si>
  <si>
    <t xml:space="preserve">Jaká je pracovní doba Vašich zaměstnanců? </t>
  </si>
  <si>
    <t>1. směna</t>
  </si>
  <si>
    <t>Hodin</t>
  </si>
  <si>
    <t>2. směna</t>
  </si>
  <si>
    <t>3. směna</t>
  </si>
  <si>
    <t>Kolik máte zaměstnanců v jednotlivých směnách?</t>
  </si>
  <si>
    <t>Zaměstnanců</t>
  </si>
  <si>
    <t>Kč</t>
  </si>
  <si>
    <t>Jaký je u Vašeho kolektivu průměrný počet pracovních dnů v měsíci?</t>
  </si>
  <si>
    <t>Pracovních dnů</t>
  </si>
  <si>
    <t>O jaký typ Tiki masky byste měli zájem?</t>
  </si>
  <si>
    <t>TikiSTART</t>
  </si>
  <si>
    <t>EUR</t>
  </si>
  <si>
    <t>TikiMedical</t>
  </si>
  <si>
    <t>TikiPro</t>
  </si>
  <si>
    <t>Výsledky:</t>
  </si>
  <si>
    <t>Jaká je cena za 1 kus Vámi nakupovaných respirátorů?</t>
  </si>
  <si>
    <t xml:space="preserve"> za rok</t>
  </si>
  <si>
    <t xml:space="preserve"> za měsíc</t>
  </si>
  <si>
    <t>Vaše náklady na současné běžné respirátory jsou</t>
  </si>
  <si>
    <t>Kolik hodin je možné používat Váš respirátor?</t>
  </si>
  <si>
    <t>Hodiny</t>
  </si>
  <si>
    <t>Po 2 kusech</t>
  </si>
  <si>
    <t>Po 120 kusech</t>
  </si>
  <si>
    <t xml:space="preserve">Výměna filtrů v Tiki maskách po </t>
  </si>
  <si>
    <t xml:space="preserve"> (Pozn.: Maximální životnost běžných respirátorů bývá cca 4 hodiny!)</t>
  </si>
  <si>
    <t>Hodinách</t>
  </si>
  <si>
    <t>Ks</t>
  </si>
  <si>
    <t>Průměrný počet potřebných náhradních filtrů měsíčně</t>
  </si>
  <si>
    <t xml:space="preserve">Po kolika kusech byste případně nakupovali náhradní filtry? </t>
  </si>
  <si>
    <t>Minimální počet respirátorů na každý pracovní den Vašeho kolektivu je</t>
  </si>
  <si>
    <t>Celkový počet odpracovaných hodin Vašeho personálu za měsíc je</t>
  </si>
  <si>
    <t>Kurz EUR / CZK</t>
  </si>
  <si>
    <t>(Pozn.: Včetně započtení nákladů na náhradní filtry Tiki)</t>
  </si>
  <si>
    <t>za měsíc</t>
  </si>
  <si>
    <t>Průměrná cena za náhradní filtry měsíčně</t>
  </si>
  <si>
    <t>(6 hodin / 40 dnů)</t>
  </si>
  <si>
    <t>Náklady na resirátory</t>
  </si>
  <si>
    <t>Náklady na Tiki</t>
  </si>
  <si>
    <t>Měsíc</t>
  </si>
  <si>
    <t>v porovnání s používáním respirátorů FFP3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</si>
</sst>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#,##0\ &quot;Kč&quot;;\-#,##0\ &quot;Kč&quot;"/>
    <numFmt numFmtId="164" formatCode="#,##0\ &quot;Kč&quot;"/>
    <numFmt numFmtId="165" formatCode="0&quot; ks&quot;"/>
    <numFmt numFmtId="166" formatCode="[&gt;1]&quot; měsíce&quot;;[=1]&quot; měsíc&quot;;&quot; měsíce&quot;"/>
    <numFmt numFmtId="167" formatCode="0.0"/>
  </numFmts>
  <fonts count="10" x14ac:knownFonts="1">
    <font>
      <sz val="11"/>
      <color theme="1"/>
      <name val="Calibri"/>
      <family val="2"/>
      <charset val="238"/>
      <scheme val="minor"/>
    </font>
    <font>
      <sz val="20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indexed="8"/>
      <name val="Calibri"/>
      <family val="2"/>
      <charset val="238"/>
    </font>
    <font>
      <b/>
      <sz val="9"/>
      <color indexed="10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Border="1" applyAlignme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Border="1" applyAlignment="1"/>
    <xf numFmtId="0" fontId="1" fillId="2" borderId="0" xfId="0" applyFont="1" applyFill="1" applyAlignment="1"/>
    <xf numFmtId="0" fontId="5" fillId="2" borderId="0" xfId="0" applyFont="1" applyFill="1" applyAlignment="1"/>
    <xf numFmtId="0" fontId="4" fillId="2" borderId="0" xfId="0" applyFont="1" applyFill="1"/>
    <xf numFmtId="0" fontId="7" fillId="2" borderId="0" xfId="0" applyFont="1" applyFill="1"/>
    <xf numFmtId="164" fontId="7" fillId="2" borderId="1" xfId="0" applyNumberFormat="1" applyFont="1" applyFill="1" applyBorder="1" applyAlignment="1">
      <alignment horizontal="center"/>
    </xf>
    <xf numFmtId="165" fontId="7" fillId="2" borderId="1" xfId="0" applyNumberFormat="1" applyFont="1" applyFill="1" applyBorder="1" applyAlignment="1">
      <alignment horizontal="center"/>
    </xf>
    <xf numFmtId="0" fontId="0" fillId="3" borderId="1" xfId="0" applyFill="1" applyBorder="1"/>
    <xf numFmtId="0" fontId="4" fillId="3" borderId="1" xfId="0" applyFont="1" applyFill="1" applyBorder="1" applyAlignment="1">
      <alignment horizontal="center"/>
    </xf>
    <xf numFmtId="166" fontId="7" fillId="2" borderId="0" xfId="0" applyNumberFormat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8" fillId="2" borderId="0" xfId="0" applyFont="1" applyFill="1" applyBorder="1" applyAlignment="1"/>
    <xf numFmtId="0" fontId="8" fillId="2" borderId="1" xfId="0" applyFont="1" applyFill="1" applyBorder="1" applyAlignment="1">
      <alignment horizontal="center"/>
    </xf>
    <xf numFmtId="167" fontId="8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7" fillId="2" borderId="1" xfId="0" applyFont="1" applyFill="1" applyBorder="1" applyAlignment="1">
      <alignment horizontal="center"/>
    </xf>
    <xf numFmtId="0" fontId="0" fillId="4" borderId="0" xfId="0" applyFill="1"/>
    <xf numFmtId="0" fontId="3" fillId="4" borderId="0" xfId="0" applyFont="1" applyFill="1"/>
    <xf numFmtId="5" fontId="0" fillId="2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5" fontId="0" fillId="0" borderId="0" xfId="0" applyNumberFormat="1" applyAlignment="1">
      <alignment horizontal="center" wrapText="1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Porovnání</a:t>
            </a:r>
            <a:r>
              <a:rPr lang="cs-CZ" baseline="0"/>
              <a:t> nákladů na respirátory a TIKI</a:t>
            </a:r>
            <a:endParaRPr lang="cs-CZ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Náklady na respirátory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List3!$B$3:$B$14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List3!$C$3:$C$14</c:f>
              <c:numCache>
                <c:formatCode>General</c:formatCode>
                <c:ptCount val="12"/>
                <c:pt idx="0">
                  <c:v>26000</c:v>
                </c:pt>
                <c:pt idx="1">
                  <c:v>52000</c:v>
                </c:pt>
                <c:pt idx="2">
                  <c:v>78000</c:v>
                </c:pt>
                <c:pt idx="3">
                  <c:v>104000</c:v>
                </c:pt>
                <c:pt idx="4">
                  <c:v>130000</c:v>
                </c:pt>
                <c:pt idx="5">
                  <c:v>156000</c:v>
                </c:pt>
                <c:pt idx="6">
                  <c:v>182000</c:v>
                </c:pt>
                <c:pt idx="7">
                  <c:v>208000</c:v>
                </c:pt>
                <c:pt idx="8">
                  <c:v>234000</c:v>
                </c:pt>
                <c:pt idx="9">
                  <c:v>260000</c:v>
                </c:pt>
                <c:pt idx="10">
                  <c:v>286000</c:v>
                </c:pt>
                <c:pt idx="11">
                  <c:v>312000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717-4090-B77A-7D144F1BB866}"/>
            </c:ext>
          </c:extLst>
        </c:ser>
        <c:ser>
          <c:idx val="1"/>
          <c:order val="1"/>
          <c:tx>
            <c:v>Náklady na TIKI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List3!$B$3:$B$14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List3!$D$3:$D$14</c:f>
              <c:numCache>
                <c:formatCode>"Kč"#,##0_);\("Kč"#,##0\)</c:formatCode>
                <c:ptCount val="12"/>
                <c:pt idx="0">
                  <c:v>64870</c:v>
                </c:pt>
                <c:pt idx="1">
                  <c:v>66530.36</c:v>
                </c:pt>
                <c:pt idx="2">
                  <c:v>68190.720000000001</c:v>
                </c:pt>
                <c:pt idx="3">
                  <c:v>69851.08</c:v>
                </c:pt>
                <c:pt idx="4">
                  <c:v>71511.44</c:v>
                </c:pt>
                <c:pt idx="5">
                  <c:v>73171.8</c:v>
                </c:pt>
                <c:pt idx="6">
                  <c:v>74832.160000000003</c:v>
                </c:pt>
                <c:pt idx="7">
                  <c:v>76492.52</c:v>
                </c:pt>
                <c:pt idx="8">
                  <c:v>78152.88</c:v>
                </c:pt>
                <c:pt idx="9">
                  <c:v>79813.240000000005</c:v>
                </c:pt>
                <c:pt idx="10">
                  <c:v>81473.600000000006</c:v>
                </c:pt>
                <c:pt idx="11">
                  <c:v>83133.960000000006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717-4090-B77A-7D144F1BB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445824"/>
        <c:axId val="232067072"/>
      </c:lineChart>
      <c:catAx>
        <c:axId val="232445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Měsíce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32067072"/>
        <c:crosses val="autoZero"/>
        <c:auto val="1"/>
        <c:lblAlgn val="ctr"/>
        <c:lblOffset val="100"/>
        <c:noMultiLvlLbl val="0"/>
      </c:catAx>
      <c:valAx>
        <c:axId val="23206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Náklady v Kč</a:t>
                </a:r>
              </a:p>
            </c:rich>
          </c:tx>
          <c:layout>
            <c:manualLayout>
              <c:xMode val="edge"/>
              <c:yMode val="edge"/>
              <c:x val="1.2352032938754504E-2"/>
              <c:y val="0.3192423804167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32445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gi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125730</xdr:colOff>
      <xdr:row>21</xdr:row>
      <xdr:rowOff>129540</xdr:rowOff>
    </xdr:from>
    <xdr:to>
      <xdr:col>0</xdr:col>
      <xdr:colOff>519430</xdr:colOff>
      <xdr:row>23</xdr:row>
      <xdr:rowOff>154940</xdr:rowOff>
    </xdr:to>
    <xdr:pic>
      <xdr:nvPicPr>
        <xdr:cNvPr id="1053" name="Obrázek 5">
          <a:extLst>
            <a:ext uri="{FF2B5EF4-FFF2-40B4-BE49-F238E27FC236}">
              <a16:creationId xmlns="" xmlns:a16="http://schemas.microsoft.com/office/drawing/2014/main" id="{5D26430D-FF4E-4702-AFFB-833037B5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" y="3794760"/>
          <a:ext cx="393700" cy="391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167640</xdr:colOff>
      <xdr:row>26</xdr:row>
      <xdr:rowOff>137160</xdr:rowOff>
    </xdr:from>
    <xdr:to>
      <xdr:col>0</xdr:col>
      <xdr:colOff>487680</xdr:colOff>
      <xdr:row>28</xdr:row>
      <xdr:rowOff>91440</xdr:rowOff>
    </xdr:to>
    <xdr:pic>
      <xdr:nvPicPr>
        <xdr:cNvPr id="3" name="Obrázek 2" descr="Užitečné informace">
          <a:extLst>
            <a:ext uri="{FF2B5EF4-FFF2-40B4-BE49-F238E27FC236}">
              <a16:creationId xmlns="" xmlns:a16="http://schemas.microsoft.com/office/drawing/2014/main" id="{09AF6170-1467-41C0-88AD-BB6C7EF60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5082540"/>
          <a:ext cx="320040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701675</xdr:colOff>
      <xdr:row>1</xdr:row>
      <xdr:rowOff>133349</xdr:rowOff>
    </xdr:from>
    <xdr:to>
      <xdr:col>17</xdr:col>
      <xdr:colOff>120650</xdr:colOff>
      <xdr:row>13</xdr:row>
      <xdr:rowOff>73024</xdr:rowOff>
    </xdr:to>
    <xdr:graphicFrame macro="">
      <xdr:nvGraphicFramePr>
        <xdr:cNvPr id="2" name="Graf 1">
          <a:extLst>
            <a:ext uri="{FF2B5EF4-FFF2-40B4-BE49-F238E27FC236}">
              <a16:creationId xmlns="" xmlns:a16="http://schemas.microsoft.com/office/drawing/2014/main" id="{C7EA6A7C-6504-4E09-9055-E5CD65766B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167640</xdr:colOff>
      <xdr:row>11</xdr:row>
      <xdr:rowOff>137160</xdr:rowOff>
    </xdr:from>
    <xdr:to>
      <xdr:col>0</xdr:col>
      <xdr:colOff>487680</xdr:colOff>
      <xdr:row>13</xdr:row>
      <xdr:rowOff>91440</xdr:rowOff>
    </xdr:to>
    <xdr:pic>
      <xdr:nvPicPr>
        <xdr:cNvPr id="2" name="Obrázek 1" descr="Užitečné informace">
          <a:extLst>
            <a:ext uri="{FF2B5EF4-FFF2-40B4-BE49-F238E27FC236}">
              <a16:creationId xmlns="" xmlns:a16="http://schemas.microsoft.com/office/drawing/2014/main" id="{130DF999-BC09-4F58-8A10-C5249004B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5082540"/>
          <a:ext cx="320040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M30"/>
  <sheetViews>
    <sheetView tabSelected="1" workbookViewId="0">
      <selection activeCell="AO30" sqref="AO30"/>
    </sheetView>
  </sheetViews>
  <sheetFormatPr defaultColWidth="8.6640625" defaultRowHeight="14.4" x14ac:dyDescent="0.3"/>
  <cols>
    <col min="1" max="1" width="8.6640625" style="1"/>
    <col min="2" max="2" width="17.33203125" style="1" customWidth="1"/>
    <col min="3" max="3" width="8.6640625" style="1"/>
    <col min="4" max="4" width="14.21875" style="1" customWidth="1"/>
    <col min="5" max="5" width="11" style="1" customWidth="1"/>
    <col min="6" max="6" width="11.109375" style="1" customWidth="1"/>
    <col min="7" max="7" width="12.6640625" style="1" customWidth="1"/>
    <col min="8" max="8" width="15.5546875" style="1" customWidth="1"/>
    <col min="9" max="9" width="22" style="1" customWidth="1"/>
    <col min="10" max="10" width="14.21875" style="1" customWidth="1"/>
    <col min="11" max="16384" width="8.6640625" style="1"/>
  </cols>
  <sheetData>
    <row r="2" spans="2:9" ht="25.8" x14ac:dyDescent="0.5">
      <c r="B2" s="38" t="s">
        <v>0</v>
      </c>
      <c r="C2" s="38"/>
      <c r="D2" s="38"/>
      <c r="E2" s="38"/>
      <c r="F2" s="38"/>
      <c r="G2" s="38"/>
      <c r="H2" s="38"/>
      <c r="I2" s="9"/>
    </row>
    <row r="3" spans="2:9" ht="18" x14ac:dyDescent="0.35">
      <c r="B3" s="39" t="s">
        <v>42</v>
      </c>
      <c r="C3" s="39"/>
      <c r="D3" s="39"/>
      <c r="E3" s="39"/>
      <c r="F3" s="39"/>
      <c r="G3" s="39"/>
      <c r="H3" s="39"/>
      <c r="I3" s="10"/>
    </row>
    <row r="4" spans="2:9" ht="14.4" customHeight="1" x14ac:dyDescent="0.6">
      <c r="D4" s="5"/>
      <c r="H4" s="7"/>
    </row>
    <row r="5" spans="2:9" ht="14.4" customHeight="1" x14ac:dyDescent="0.5">
      <c r="B5" s="1" t="s">
        <v>1</v>
      </c>
      <c r="C5" s="15"/>
      <c r="D5" s="5"/>
    </row>
    <row r="7" spans="2:9" x14ac:dyDescent="0.3">
      <c r="B7" s="1" t="s">
        <v>2</v>
      </c>
      <c r="F7" s="2" t="s">
        <v>3</v>
      </c>
      <c r="G7" s="16">
        <v>8</v>
      </c>
      <c r="H7" s="3" t="s">
        <v>4</v>
      </c>
    </row>
    <row r="8" spans="2:9" x14ac:dyDescent="0.3">
      <c r="F8" s="2" t="s">
        <v>5</v>
      </c>
      <c r="G8" s="16">
        <v>0</v>
      </c>
      <c r="H8" s="3" t="s">
        <v>4</v>
      </c>
    </row>
    <row r="9" spans="2:9" x14ac:dyDescent="0.3">
      <c r="F9" s="2" t="s">
        <v>6</v>
      </c>
      <c r="G9" s="16">
        <v>0</v>
      </c>
      <c r="H9" s="3" t="s">
        <v>4</v>
      </c>
    </row>
    <row r="11" spans="2:9" x14ac:dyDescent="0.3">
      <c r="B11" s="1" t="s">
        <v>7</v>
      </c>
      <c r="F11" s="2" t="s">
        <v>3</v>
      </c>
      <c r="G11" s="16">
        <v>5</v>
      </c>
      <c r="H11" s="3" t="s">
        <v>8</v>
      </c>
    </row>
    <row r="12" spans="2:9" x14ac:dyDescent="0.3">
      <c r="F12" s="2" t="s">
        <v>5</v>
      </c>
      <c r="G12" s="16">
        <v>0</v>
      </c>
      <c r="H12" s="3" t="s">
        <v>8</v>
      </c>
    </row>
    <row r="13" spans="2:9" x14ac:dyDescent="0.3">
      <c r="F13" s="2" t="s">
        <v>6</v>
      </c>
      <c r="G13" s="16">
        <v>0</v>
      </c>
      <c r="H13" s="3" t="s">
        <v>8</v>
      </c>
    </row>
    <row r="15" spans="2:9" x14ac:dyDescent="0.3">
      <c r="B15" s="1" t="s">
        <v>18</v>
      </c>
      <c r="G15" s="16">
        <v>130</v>
      </c>
      <c r="H15" s="3" t="s">
        <v>9</v>
      </c>
      <c r="I15" s="4"/>
    </row>
    <row r="16" spans="2:9" x14ac:dyDescent="0.3">
      <c r="B16" s="1" t="s">
        <v>22</v>
      </c>
      <c r="G16" s="16">
        <v>4</v>
      </c>
      <c r="H16" s="3" t="s">
        <v>23</v>
      </c>
      <c r="I16" s="4" t="s">
        <v>27</v>
      </c>
    </row>
    <row r="17" spans="2:13" x14ac:dyDescent="0.3">
      <c r="B17" s="1" t="s">
        <v>10</v>
      </c>
      <c r="G17" s="16">
        <v>20</v>
      </c>
      <c r="H17" s="3" t="s">
        <v>11</v>
      </c>
      <c r="I17" s="4"/>
    </row>
    <row r="18" spans="2:13" x14ac:dyDescent="0.3">
      <c r="B18" s="1" t="s">
        <v>12</v>
      </c>
      <c r="G18" s="36" t="s">
        <v>15</v>
      </c>
      <c r="H18" s="37"/>
      <c r="I18" s="8"/>
      <c r="J18" s="4"/>
    </row>
    <row r="19" spans="2:13" x14ac:dyDescent="0.3">
      <c r="B19" s="1" t="s">
        <v>31</v>
      </c>
      <c r="G19" s="40" t="s">
        <v>25</v>
      </c>
      <c r="H19" s="40"/>
      <c r="I19" s="20" t="str">
        <f>" (Pozn.: Cena za 1 kus filtru je v takovém případě "&amp;ROUND((VLOOKUP(G19,List2!B7:D8,3,0)),0)&amp;" Kč)"</f>
        <v xml:space="preserve"> (Pozn.: Cena za 1 kus filtru je v takovém případě 498 Kč)</v>
      </c>
      <c r="J19" s="4"/>
    </row>
    <row r="21" spans="2:13" x14ac:dyDescent="0.3">
      <c r="B21" s="11" t="s">
        <v>17</v>
      </c>
    </row>
    <row r="22" spans="2:13" s="7" customFormat="1" x14ac:dyDescent="0.3">
      <c r="B22" s="12" t="s">
        <v>32</v>
      </c>
      <c r="C22" s="12"/>
      <c r="D22" s="12"/>
      <c r="E22" s="12"/>
      <c r="F22" s="12"/>
      <c r="G22" s="14">
        <f>CEILING(G7/G16,1)*G11+CEILING(G8/G16,1)*G12+CEILING(G9/G16,1)*G13</f>
        <v>10</v>
      </c>
      <c r="H22" s="12"/>
    </row>
    <row r="23" spans="2:13" s="7" customFormat="1" x14ac:dyDescent="0.3">
      <c r="B23" s="12" t="s">
        <v>21</v>
      </c>
      <c r="C23" s="12"/>
      <c r="D23" s="12"/>
      <c r="E23" s="12"/>
      <c r="F23" s="12"/>
      <c r="G23" s="13">
        <f>(CEILING(G7/G16,1)*G11+CEILING(G8/G16,1)*G12+CEILING(G9/G16,1)*G13)*G15*G17</f>
        <v>26000</v>
      </c>
      <c r="H23" s="12" t="s">
        <v>20</v>
      </c>
    </row>
    <row r="24" spans="2:13" s="7" customFormat="1" x14ac:dyDescent="0.3">
      <c r="B24" s="12" t="str">
        <f>"Návratnost investice při zakoupení "&amp;G11+G12+G13&amp;" kusů "&amp;G18&amp;" masek je cca"</f>
        <v>Návratnost investice při zakoupení 5 kusů TikiMedical masek je cca</v>
      </c>
      <c r="C24" s="12"/>
      <c r="D24" s="12"/>
      <c r="E24" s="12"/>
      <c r="F24" s="12"/>
      <c r="G24" s="26">
        <f>ROUND(((G11+G12+G13)*VLOOKUP(G18,List2!B4:D6,3,FALSE))/(((CEILING(G7/G16,1)*G11+CEILING(G8/G16,1)*G12+CEILING(G9/G16,1)*G13)*G15*G17)-(VLOOKUP(G19,List2!B7:D8,3,0)*List2!G14)),2)</f>
        <v>2.67</v>
      </c>
      <c r="H24" s="17">
        <f>ROUND(((G11+G12+G13)*VLOOKUP(G18,List2!B4:D6,3,FALSE))/(((CEILING(G7/G16,1)*G11+CEILING(G8/G16,1)*G12+CEILING(G9/G16,1)*G13)*G15*G17)-(VLOOKUP(G19,List2!B7:D8,3,0)*List2!G14)),2)</f>
        <v>2.67</v>
      </c>
      <c r="I24" s="27" t="s">
        <v>35</v>
      </c>
      <c r="J24" s="28"/>
    </row>
    <row r="25" spans="2:13" s="7" customFormat="1" x14ac:dyDescent="0.3">
      <c r="B25" s="12" t="str">
        <f>"Vaše úspora při zakoupení "&amp;G11+G12+G13&amp;" kusů "&amp;G18&amp;" masek je cca"</f>
        <v>Vaše úspora při zakoupení 5 kusů TikiMedical masek je cca</v>
      </c>
      <c r="C25" s="12"/>
      <c r="D25" s="12"/>
      <c r="E25" s="12"/>
      <c r="F25" s="12"/>
      <c r="G25" s="13">
        <f>(((CEILING(G7/G16,1)*G11+CEILING(G8/G16,1)*G12+CEILING(G9/G16,1)*G13)*G15*G17)*12)-((ROUND((G11+G12+G13)*VLOOKUP(G18,List2!B4:D6,3,FALSE)+(List2!G14*VLOOKUP(G19,List2!B7:D8,3,0))*12,1)))</f>
        <v>227205.7</v>
      </c>
      <c r="H25" s="12" t="s">
        <v>19</v>
      </c>
      <c r="I25" s="27" t="s">
        <v>35</v>
      </c>
      <c r="J25" s="28"/>
    </row>
    <row r="26" spans="2:13" ht="14.55" x14ac:dyDescent="0.35">
      <c r="B26" s="6"/>
      <c r="C26" s="6"/>
      <c r="D26" s="6"/>
      <c r="E26" s="6"/>
      <c r="F26" s="6"/>
      <c r="G26" s="6"/>
      <c r="H26" s="6"/>
      <c r="I26" s="7"/>
      <c r="J26" s="7"/>
      <c r="K26" s="7"/>
      <c r="L26" s="7"/>
      <c r="M26" s="7"/>
    </row>
    <row r="27" spans="2:13" x14ac:dyDescent="0.3">
      <c r="B27" s="18" t="s">
        <v>33</v>
      </c>
      <c r="C27" s="18"/>
      <c r="D27" s="18"/>
      <c r="E27" s="18"/>
      <c r="F27" s="18"/>
      <c r="G27" s="21">
        <f>G7*G11*G17+G8*G12*G17+G9*G13*G17</f>
        <v>800</v>
      </c>
      <c r="H27" s="18" t="s">
        <v>4</v>
      </c>
    </row>
    <row r="28" spans="2:13" x14ac:dyDescent="0.3">
      <c r="B28" s="18" t="s">
        <v>26</v>
      </c>
      <c r="C28" s="19"/>
      <c r="D28" s="19"/>
      <c r="E28" s="19"/>
      <c r="F28" s="18"/>
      <c r="G28" s="21">
        <v>240</v>
      </c>
      <c r="H28" s="18" t="s">
        <v>28</v>
      </c>
      <c r="I28" s="1" t="s">
        <v>38</v>
      </c>
    </row>
    <row r="29" spans="2:13" x14ac:dyDescent="0.3">
      <c r="B29" s="18" t="s">
        <v>30</v>
      </c>
      <c r="C29" s="19"/>
      <c r="D29" s="19"/>
      <c r="E29" s="19"/>
      <c r="F29" s="18"/>
      <c r="G29" s="22">
        <f>G27/G28</f>
        <v>3.3333333333333335</v>
      </c>
      <c r="H29" s="18" t="s">
        <v>29</v>
      </c>
    </row>
    <row r="30" spans="2:13" x14ac:dyDescent="0.3">
      <c r="B30" s="18" t="s">
        <v>37</v>
      </c>
      <c r="G30" s="29">
        <f>G29*VLOOKUP(G19,List2!B7:D8,3,FALSE)</f>
        <v>1660.3600000000004</v>
      </c>
      <c r="H30" s="1" t="s">
        <v>36</v>
      </c>
    </row>
  </sheetData>
  <mergeCells count="4">
    <mergeCell ref="G18:H18"/>
    <mergeCell ref="B2:H2"/>
    <mergeCell ref="B3:H3"/>
    <mergeCell ref="G19:H19"/>
  </mergeCells>
  <pageMargins left="0.7" right="0.7" top="0.78740157499999996" bottom="0.78740157499999996" header="0.3" footer="0.3"/>
  <pageSetup paperSize="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List2!$B$4:$B$6</xm:f>
          </x14:formula1>
          <xm:sqref>G18:H18</xm:sqref>
        </x14:dataValidation>
        <x14:dataValidation type="list" allowBlank="1" showInputMessage="1" showErrorMessage="1">
          <x14:formula1>
            <xm:f>List2!$B$7:$B$8</xm:f>
          </x14:formula1>
          <xm:sqref>G19:H19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4"/>
  <sheetViews>
    <sheetView workbookViewId="0"/>
  </sheetViews>
  <sheetFormatPr defaultRowHeight="14.4" x14ac:dyDescent="0.3"/>
  <cols>
    <col min="2" max="2" width="15.44140625" customWidth="1"/>
    <col min="4" max="4" width="11.21875" bestFit="1" customWidth="1"/>
    <col min="6" max="6" width="13.6640625" customWidth="1"/>
  </cols>
  <sheetData>
    <row r="2" spans="2:8" ht="14.55" x14ac:dyDescent="0.35">
      <c r="B2" s="25" t="s">
        <v>34</v>
      </c>
      <c r="C2" s="23">
        <v>26</v>
      </c>
    </row>
    <row r="3" spans="2:8" x14ac:dyDescent="0.3">
      <c r="B3" s="23"/>
      <c r="C3" s="23" t="s">
        <v>14</v>
      </c>
      <c r="D3" s="23" t="s">
        <v>9</v>
      </c>
    </row>
    <row r="4" spans="2:8" ht="14.55" x14ac:dyDescent="0.35">
      <c r="B4" s="24" t="s">
        <v>13</v>
      </c>
      <c r="C4" s="23">
        <v>449.9</v>
      </c>
      <c r="D4" s="30">
        <f>C4*C2</f>
        <v>11697.4</v>
      </c>
    </row>
    <row r="5" spans="2:8" ht="14.55" x14ac:dyDescent="0.35">
      <c r="B5" s="24" t="s">
        <v>15</v>
      </c>
      <c r="C5" s="23">
        <v>499</v>
      </c>
      <c r="D5" s="30">
        <f>C5*C2</f>
        <v>12974</v>
      </c>
    </row>
    <row r="6" spans="2:8" ht="14.55" x14ac:dyDescent="0.35">
      <c r="B6" s="24" t="s">
        <v>16</v>
      </c>
      <c r="C6" s="23">
        <v>799</v>
      </c>
      <c r="D6" s="30">
        <f>C6*C2</f>
        <v>20774</v>
      </c>
    </row>
    <row r="7" spans="2:8" ht="14.55" x14ac:dyDescent="0.35">
      <c r="B7" s="24" t="s">
        <v>24</v>
      </c>
      <c r="C7" s="23">
        <v>24.5</v>
      </c>
      <c r="D7" s="30">
        <f>C7*C2</f>
        <v>637</v>
      </c>
    </row>
    <row r="8" spans="2:8" ht="14.55" x14ac:dyDescent="0.35">
      <c r="B8" s="24" t="s">
        <v>25</v>
      </c>
      <c r="C8" s="23">
        <v>19.158000000000001</v>
      </c>
      <c r="D8" s="30">
        <f>C8*C2</f>
        <v>498.10800000000006</v>
      </c>
    </row>
    <row r="12" spans="2:8" s="1" customFormat="1" x14ac:dyDescent="0.3">
      <c r="B12" s="18" t="s">
        <v>33</v>
      </c>
      <c r="C12" s="18"/>
      <c r="D12" s="18"/>
      <c r="E12" s="18"/>
      <c r="F12" s="18"/>
      <c r="G12" s="21">
        <f>List1!G7*List1!G11*List1!G17+List1!G8*List1!G12*List1!G17+List1!G9*List1!G13*List1!G17</f>
        <v>800</v>
      </c>
      <c r="H12" s="18" t="s">
        <v>4</v>
      </c>
    </row>
    <row r="13" spans="2:8" s="1" customFormat="1" x14ac:dyDescent="0.3">
      <c r="B13" s="18" t="s">
        <v>26</v>
      </c>
      <c r="C13" s="19"/>
      <c r="D13" s="19"/>
      <c r="E13" s="19"/>
      <c r="F13" s="18"/>
      <c r="G13" s="21">
        <v>240</v>
      </c>
      <c r="H13" s="18" t="s">
        <v>28</v>
      </c>
    </row>
    <row r="14" spans="2:8" s="1" customFormat="1" x14ac:dyDescent="0.3">
      <c r="B14" s="18" t="s">
        <v>30</v>
      </c>
      <c r="C14" s="19"/>
      <c r="D14" s="19"/>
      <c r="E14" s="19"/>
      <c r="F14" s="18"/>
      <c r="G14" s="22">
        <f>G12/G13</f>
        <v>3.3333333333333335</v>
      </c>
      <c r="H14" s="18" t="s">
        <v>29</v>
      </c>
    </row>
  </sheetData>
  <pageMargins left="0.7" right="0.7" top="0.78740157499999996" bottom="0.78740157499999996" header="0.3" footer="0.3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4"/>
  <sheetViews>
    <sheetView workbookViewId="0"/>
  </sheetViews>
  <sheetFormatPr defaultRowHeight="14.4" x14ac:dyDescent="0.3"/>
  <cols>
    <col min="2" max="2" width="8.77734375" style="31"/>
    <col min="3" max="3" width="10.21875" style="32" customWidth="1"/>
    <col min="4" max="4" width="10.33203125" style="32" customWidth="1"/>
  </cols>
  <sheetData>
    <row r="2" spans="2:4" s="33" customFormat="1" ht="28.8" x14ac:dyDescent="0.3">
      <c r="B2" s="33" t="s">
        <v>41</v>
      </c>
      <c r="C2" s="34" t="s">
        <v>39</v>
      </c>
      <c r="D2" s="34" t="s">
        <v>40</v>
      </c>
    </row>
    <row r="3" spans="2:4" ht="14.55" customHeight="1" x14ac:dyDescent="0.35">
      <c r="B3" s="31">
        <v>1</v>
      </c>
      <c r="C3" s="32">
        <f>List1!$G$23</f>
        <v>26000</v>
      </c>
      <c r="D3" s="35">
        <f>((List1!G11+List1!G12+List1!G13)*VLOOKUP(List1!G18,List2!B4:D6,3,FALSE))</f>
        <v>64870</v>
      </c>
    </row>
    <row r="4" spans="2:4" x14ac:dyDescent="0.3">
      <c r="B4" s="31">
        <f>B3+1</f>
        <v>2</v>
      </c>
      <c r="C4" s="32">
        <f>C3+$C$3</f>
        <v>52000</v>
      </c>
      <c r="D4" s="35">
        <f>D3+List1!$G$30</f>
        <v>66530.36</v>
      </c>
    </row>
    <row r="5" spans="2:4" x14ac:dyDescent="0.3">
      <c r="B5" s="31">
        <f t="shared" ref="B5:B14" si="0">B4+1</f>
        <v>3</v>
      </c>
      <c r="C5" s="32">
        <f t="shared" ref="C5:C14" si="1">C4+$C$3</f>
        <v>78000</v>
      </c>
      <c r="D5" s="35">
        <f>D4+List1!$G$30</f>
        <v>68190.720000000001</v>
      </c>
    </row>
    <row r="6" spans="2:4" x14ac:dyDescent="0.3">
      <c r="B6" s="31">
        <f t="shared" si="0"/>
        <v>4</v>
      </c>
      <c r="C6" s="32">
        <f t="shared" si="1"/>
        <v>104000</v>
      </c>
      <c r="D6" s="35">
        <f>D5+List1!$G$30</f>
        <v>69851.08</v>
      </c>
    </row>
    <row r="7" spans="2:4" x14ac:dyDescent="0.3">
      <c r="B7" s="31">
        <f t="shared" si="0"/>
        <v>5</v>
      </c>
      <c r="C7" s="32">
        <f t="shared" si="1"/>
        <v>130000</v>
      </c>
      <c r="D7" s="35">
        <f>D6+List1!$G$30</f>
        <v>71511.44</v>
      </c>
    </row>
    <row r="8" spans="2:4" x14ac:dyDescent="0.3">
      <c r="B8" s="31">
        <f t="shared" si="0"/>
        <v>6</v>
      </c>
      <c r="C8" s="32">
        <f t="shared" si="1"/>
        <v>156000</v>
      </c>
      <c r="D8" s="35">
        <f>D7+List1!$G$30</f>
        <v>73171.8</v>
      </c>
    </row>
    <row r="9" spans="2:4" x14ac:dyDescent="0.3">
      <c r="B9" s="31">
        <f t="shared" si="0"/>
        <v>7</v>
      </c>
      <c r="C9" s="32">
        <f t="shared" si="1"/>
        <v>182000</v>
      </c>
      <c r="D9" s="35">
        <f>D8+List1!$G$30</f>
        <v>74832.160000000003</v>
      </c>
    </row>
    <row r="10" spans="2:4" x14ac:dyDescent="0.3">
      <c r="B10" s="31">
        <f t="shared" si="0"/>
        <v>8</v>
      </c>
      <c r="C10" s="32">
        <f t="shared" si="1"/>
        <v>208000</v>
      </c>
      <c r="D10" s="35">
        <f>D9+List1!$G$30</f>
        <v>76492.52</v>
      </c>
    </row>
    <row r="11" spans="2:4" x14ac:dyDescent="0.3">
      <c r="B11" s="31">
        <f t="shared" si="0"/>
        <v>9</v>
      </c>
      <c r="C11" s="32">
        <f t="shared" si="1"/>
        <v>234000</v>
      </c>
      <c r="D11" s="35">
        <f>D10+List1!$G$30</f>
        <v>78152.88</v>
      </c>
    </row>
    <row r="12" spans="2:4" x14ac:dyDescent="0.3">
      <c r="B12" s="31">
        <f t="shared" si="0"/>
        <v>10</v>
      </c>
      <c r="C12" s="32">
        <f t="shared" si="1"/>
        <v>260000</v>
      </c>
      <c r="D12" s="35">
        <f>D11+List1!$G$30</f>
        <v>79813.240000000005</v>
      </c>
    </row>
    <row r="13" spans="2:4" x14ac:dyDescent="0.3">
      <c r="B13" s="31">
        <f t="shared" si="0"/>
        <v>11</v>
      </c>
      <c r="C13" s="32">
        <f t="shared" si="1"/>
        <v>286000</v>
      </c>
      <c r="D13" s="35">
        <f>D12+List1!$G$30</f>
        <v>81473.600000000006</v>
      </c>
    </row>
    <row r="14" spans="2:4" x14ac:dyDescent="0.3">
      <c r="B14" s="31">
        <f t="shared" si="0"/>
        <v>12</v>
      </c>
      <c r="C14" s="32">
        <f t="shared" si="1"/>
        <v>312000</v>
      </c>
      <c r="D14" s="35">
        <f>D13+List1!$G$30</f>
        <v>83133.960000000006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Muchna</dc:creator>
  <cp:lastModifiedBy>Vašek Švec</cp:lastModifiedBy>
  <dcterms:created xsi:type="dcterms:W3CDTF">2021-01-08T07:41:33Z</dcterms:created>
  <dcterms:modified xsi:type="dcterms:W3CDTF">2021-05-31T08:38:21Z</dcterms:modified>
</cp:coreProperties>
</file>